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3-res\amaryllis$\AMARYLLIS-REDIR\e.devries\Documents\"/>
    </mc:Choice>
  </mc:AlternateContent>
  <bookViews>
    <workbookView xWindow="0" yWindow="0" windowWidth="19200" windowHeight="7335" firstSheet="1" activeTab="1"/>
  </bookViews>
  <sheets>
    <sheet name="Report" sheetId="1" r:id="rId1"/>
    <sheet name="V&amp;W 20-21" sheetId="2" r:id="rId2"/>
    <sheet name="N24 Balans 30-06-2021" sheetId="3" r:id="rId3"/>
  </sheets>
  <externalReferences>
    <externalReference r:id="rId4"/>
  </externalReferences>
  <definedNames>
    <definedName name="__bookmark_1">[1]Sheet1!$B$1</definedName>
    <definedName name="__bookmark_2">[1]Sheet1!$D$2</definedName>
    <definedName name="__bookmark_3">[1]Sheet1!$F$3</definedName>
    <definedName name="__bookmark_4">[1]Sheet1!$F$4</definedName>
  </definedNames>
  <calcPr calcId="152511"/>
</workbook>
</file>

<file path=xl/calcChain.xml><?xml version="1.0" encoding="utf-8"?>
<calcChain xmlns="http://schemas.openxmlformats.org/spreadsheetml/2006/main">
  <c r="I5" i="3" l="1"/>
  <c r="D19" i="2"/>
  <c r="F21" i="2" l="1"/>
  <c r="O5" i="2" l="1"/>
  <c r="E19" i="2"/>
  <c r="C21" i="2"/>
  <c r="D13" i="2"/>
  <c r="I7" i="3"/>
  <c r="N21" i="2"/>
  <c r="N6" i="2"/>
  <c r="N7" i="2"/>
  <c r="N8" i="2"/>
  <c r="N5" i="2"/>
  <c r="E6" i="2"/>
  <c r="E7" i="2"/>
  <c r="E8" i="2"/>
  <c r="E11" i="2"/>
  <c r="E12" i="2"/>
  <c r="E14" i="2"/>
  <c r="E15" i="2"/>
  <c r="E16" i="2"/>
  <c r="L6" i="2"/>
  <c r="B6" i="3"/>
  <c r="L5" i="2"/>
  <c r="C13" i="2"/>
  <c r="C8" i="2"/>
  <c r="C10" i="2"/>
  <c r="E10" i="2" s="1"/>
  <c r="C5" i="2"/>
  <c r="C9" i="2"/>
  <c r="D8" i="2"/>
  <c r="B8" i="3"/>
  <c r="E5" i="2" l="1"/>
  <c r="M6" i="2" l="1"/>
  <c r="M5" i="2"/>
  <c r="E13" i="2"/>
  <c r="D9" i="2"/>
  <c r="B10" i="3"/>
  <c r="K6" i="3"/>
  <c r="K5" i="3"/>
  <c r="B5" i="3"/>
  <c r="B19" i="2"/>
  <c r="K5" i="2"/>
  <c r="D5" i="3"/>
  <c r="E9" i="2" l="1"/>
  <c r="M21" i="2"/>
  <c r="B13" i="2"/>
  <c r="K6" i="2"/>
  <c r="B9" i="2"/>
  <c r="B8" i="2"/>
  <c r="B21" i="2" l="1"/>
  <c r="K10" i="3"/>
  <c r="I10" i="3"/>
  <c r="D10" i="3"/>
  <c r="L21" i="2" l="1"/>
  <c r="O21" i="2" l="1"/>
  <c r="K21" i="2"/>
  <c r="P38" i="1"/>
  <c r="P34" i="1"/>
  <c r="P21" i="1"/>
  <c r="D21" i="2"/>
  <c r="E21" i="2" l="1"/>
</calcChain>
</file>

<file path=xl/sharedStrings.xml><?xml version="1.0" encoding="utf-8"?>
<sst xmlns="http://schemas.openxmlformats.org/spreadsheetml/2006/main" count="177" uniqueCount="115">
  <si>
    <t>Saldibalans</t>
  </si>
  <si>
    <t>Neptunia'24</t>
  </si>
  <si>
    <t>Boekjaar</t>
  </si>
  <si>
    <t>:</t>
  </si>
  <si>
    <t>Boekjaar 2017</t>
  </si>
  <si>
    <t>Datum boekstuk v/a</t>
  </si>
  <si>
    <t>Datum boekstuk t/m</t>
  </si>
  <si>
    <t>Balans</t>
  </si>
  <si>
    <t/>
  </si>
  <si>
    <t>Verdichting</t>
  </si>
  <si>
    <t>Grootboekrekening</t>
  </si>
  <si>
    <t>Debet</t>
  </si>
  <si>
    <t>Credit</t>
  </si>
  <si>
    <t>Saldo</t>
  </si>
  <si>
    <t>050 - Vlottende activa: Vorderingen korte termijn</t>
  </si>
  <si>
    <t>0510 - Debiteuren contributie</t>
  </si>
  <si>
    <t>0590 - Overige vorderingen korte termijn</t>
  </si>
  <si>
    <t>100 - Liquide middelen</t>
  </si>
  <si>
    <t>1010 - Kas</t>
  </si>
  <si>
    <t>1021 - Rabobank</t>
  </si>
  <si>
    <t>1055 - Nieuwe rek crt KNZB</t>
  </si>
  <si>
    <t>200 - Eigen vermogen (EV)</t>
  </si>
  <si>
    <t>2010 - Begin boekjaar</t>
  </si>
  <si>
    <t>2020 - Resultaat</t>
  </si>
  <si>
    <t>220 - Voorzieningen</t>
  </si>
  <si>
    <t>2230 - Voorziening contributies</t>
  </si>
  <si>
    <t>350 - Schulden op korte termijn</t>
  </si>
  <si>
    <t>3590 - Overige korte termijn schulden</t>
  </si>
  <si>
    <t>Totalen balans</t>
  </si>
  <si>
    <t>Winst en Resultaat</t>
  </si>
  <si>
    <t>400 - Personeelskosten</t>
  </si>
  <si>
    <t>4061 - Overige reis- en verblijfkosten</t>
  </si>
  <si>
    <t>4075 - Opleidingskosten</t>
  </si>
  <si>
    <t>4080 - Vrijwilligersvergoedingen</t>
  </si>
  <si>
    <t>4090 - Overige kosten vrijwilligers</t>
  </si>
  <si>
    <t>420 - Bureaukosten</t>
  </si>
  <si>
    <t>4240 - Automatisering / Internet</t>
  </si>
  <si>
    <t>430 - Accommodatiekosten / sportvelden</t>
  </si>
  <si>
    <t>4310 - Huur badwater</t>
  </si>
  <si>
    <t>440 - Wedstrijdkosten</t>
  </si>
  <si>
    <t>4410 - Spelmaterialen</t>
  </si>
  <si>
    <t>4450 - Kosten MPK</t>
  </si>
  <si>
    <t>4455 - Kosten Z4D</t>
  </si>
  <si>
    <t>4470 - Kosten sportbond</t>
  </si>
  <si>
    <t>4490 - Overige wedstrijdkosten</t>
  </si>
  <si>
    <t>480 - Diverse lasten</t>
  </si>
  <si>
    <t>4700 - Bankkosten</t>
  </si>
  <si>
    <t>4890 - Overige kosten</t>
  </si>
  <si>
    <t>800 - Contributies</t>
  </si>
  <si>
    <t>8010 - Contributie</t>
  </si>
  <si>
    <t>8011 - Correctie contributie overloop 2015 -2016</t>
  </si>
  <si>
    <t>810 - Entree en sponsorgelden</t>
  </si>
  <si>
    <t>8110 - Sponsorbijdragen</t>
  </si>
  <si>
    <t>8150 - Entreegelden</t>
  </si>
  <si>
    <t>8190 - Overige sponsoring</t>
  </si>
  <si>
    <t>820 - Acties en loterijen</t>
  </si>
  <si>
    <t>8220 - Loterijen/bingo</t>
  </si>
  <si>
    <t>8290 - Overige acties</t>
  </si>
  <si>
    <t>850 - Diverse baten</t>
  </si>
  <si>
    <t>8450 - Ontv.inschfrijfgeld MPK</t>
  </si>
  <si>
    <t>8455 - Opbrengst Z4D</t>
  </si>
  <si>
    <t>8590 - Overige opbrengsten</t>
  </si>
  <si>
    <t>990 - Betalingsverschillen</t>
  </si>
  <si>
    <t>9940 - Betalingsverschillen contributies</t>
  </si>
  <si>
    <t>Totalen winst en resultaat</t>
  </si>
  <si>
    <t>1</t>
  </si>
  <si>
    <t>/</t>
  </si>
  <si>
    <t>Kosten</t>
  </si>
  <si>
    <t>Begroot</t>
  </si>
  <si>
    <t>Opbrengsten</t>
  </si>
  <si>
    <t>€</t>
  </si>
  <si>
    <t>Badhuur</t>
  </si>
  <si>
    <t>Contributies</t>
  </si>
  <si>
    <t>Bankkosten</t>
  </si>
  <si>
    <t>Acties en sponsoring</t>
  </si>
  <si>
    <t xml:space="preserve">Internet </t>
  </si>
  <si>
    <t>Mini Pompebled Kriich</t>
  </si>
  <si>
    <t>Zwemvierdaagse</t>
  </si>
  <si>
    <t>Kosten vrijwilligers</t>
  </si>
  <si>
    <t>Materialen</t>
  </si>
  <si>
    <t>Opleidingskosten</t>
  </si>
  <si>
    <t>Overige algemene kosten</t>
  </si>
  <si>
    <t xml:space="preserve">Resultaat </t>
  </si>
  <si>
    <t>Bank</t>
  </si>
  <si>
    <t>Eigen vermogen</t>
  </si>
  <si>
    <t>Kas</t>
  </si>
  <si>
    <t>Te vorderen contributie</t>
  </si>
  <si>
    <t>Overige vorderingen</t>
  </si>
  <si>
    <t>Schulden korte termijn</t>
  </si>
  <si>
    <t>Wedstrijdkosten</t>
  </si>
  <si>
    <t>Stimuleringsacties nieuwe leden</t>
  </si>
  <si>
    <t>Kosten gefinancierd vanuit sponsoring</t>
  </si>
  <si>
    <t>compensatie badhuur  2021</t>
  </si>
  <si>
    <t>Balans per 30-06-2021 Neptunia '24</t>
  </si>
  <si>
    <t>20-21</t>
  </si>
  <si>
    <t>Voorziening 100 jarig jubileum</t>
  </si>
  <si>
    <t xml:space="preserve">Omdat er een behoorlijke periode niet kon worden gezwommen heeft het bestuur, toen duidelijk was dat in ieder geval een deel van de kosten voor de badhuur door de </t>
  </si>
  <si>
    <t xml:space="preserve">overheid gecompenseerd zou worden, besloten om over een drietal maanden geen contributie innen. Dit besluit heeft tot gevolg dat de contributieopbrengsten lager </t>
  </si>
  <si>
    <t>uitvallen dan begroot was.</t>
  </si>
  <si>
    <t>In 2024 bestaat Neptunia'24, ijs en weder dienende, 100-jaar. Om dat heugelijke feit op passende wijze te kunnen vieren</t>
  </si>
  <si>
    <t>Dotatie voorziening 100 jarig jubileum</t>
  </si>
  <si>
    <t>is er een voorziening getroffen voor de kosten van het jubileumfeest ten bedrage van € 5.000.</t>
  </si>
  <si>
    <t>Per saldo is het financieel resultaat € 4.119 positief waardoor het vermogen van Neptunia groeit naar ruim € 40.000.</t>
  </si>
  <si>
    <t>Een deel van dit vermogen wordt gebruikt voor het dekken van het te verwachten exploitatieverlies 2021-2022.</t>
  </si>
  <si>
    <t>Hierover meer in de Algemene ledenvergadering bij de behandeling van de begroting 2021-2022.</t>
  </si>
  <si>
    <t xml:space="preserve">Eenmalig heeft de Verlies- en Winstrekening betrekking op 1,5 jaar. De statuten zijn zo gewijzigd dant vanaf 30 juni 2021 het boekjaar gelijk op loopt met het verenigingsseizoen </t>
  </si>
  <si>
    <t>en begint op 1 juli. Deze overgang heeft eenmalig geleid tot een boekjaar van 1,5 jaar.</t>
  </si>
  <si>
    <t>Zowel kosten als opbrengsten worden sterk beïnvloed door de Corona crisis. Lange periode kon er niet worden gezwommen. De kosten voor de badhuur over deze periode zijn</t>
  </si>
  <si>
    <t>en worden naar verwachting deels gecompenseerd door de overheid. Ook de inleggelden voor de waterpolocompetities zijn door de KNZB voor een deel gecrediteerd.</t>
  </si>
  <si>
    <t>Dit vanwege het feit dat de competitie 2020-2021 na een paar wedstrijden is afgebroken.</t>
  </si>
  <si>
    <t>Zwemvierdaagse en Mini Pompeblêd Kriich konden vanwege de Corona-maatregelen niet doorgaan. Voor beide evenementen zijn er daarom</t>
  </si>
  <si>
    <t>geen kosten en opbrengsten ingeboekt.</t>
  </si>
  <si>
    <t>Toelichting op Verlies- en Winstrekening en balans</t>
  </si>
  <si>
    <t>Voorziening diversen</t>
  </si>
  <si>
    <t>Verlies- en Winstrekening 2020-2021 Neptunia '24 Sneek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</si>
</sst>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d\-mm\-yyyy"/>
    <numFmt numFmtId="165" formatCode="&quot;€&quot;\ #,##0.00"/>
    <numFmt numFmtId="166" formatCode="[$-409]dd\-mm\-yyyy\,\ hh:mm"/>
  </numFmts>
  <fonts count="3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sans-serif"/>
    </font>
    <font>
      <sz val="10"/>
      <color indexed="8"/>
      <name val="sans-serif"/>
    </font>
    <font>
      <sz val="10"/>
      <color indexed="8"/>
      <name val="serif"/>
    </font>
    <font>
      <sz val="14"/>
      <color indexed="8"/>
      <name val="sans-serif"/>
    </font>
    <font>
      <b/>
      <sz val="10"/>
      <color indexed="8"/>
      <name val="sans-serif"/>
    </font>
    <font>
      <sz val="8"/>
      <color indexed="8"/>
      <name val="sans-serif"/>
    </font>
    <font>
      <sz val="8"/>
      <color indexed="10"/>
      <name val="sans-serif"/>
    </font>
    <font>
      <b/>
      <sz val="8"/>
      <color indexed="8"/>
      <name val="sans-serif"/>
    </font>
    <font>
      <b/>
      <sz val="8"/>
      <color indexed="10"/>
      <name val="sans-serif"/>
    </font>
    <font>
      <sz val="8"/>
      <color indexed="8"/>
      <name val="serif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B5B5DB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20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4" borderId="0" xfId="0" applyNumberFormat="1" applyFont="1" applyFill="1" applyBorder="1" applyAlignment="1" applyProtection="1">
      <alignment horizontal="left" vertical="top" wrapText="1"/>
    </xf>
    <xf numFmtId="0" fontId="23" fillId="34" borderId="0" xfId="0" applyNumberFormat="1" applyFont="1" applyFill="1" applyBorder="1" applyAlignment="1" applyProtection="1">
      <alignment horizontal="right" vertical="top" wrapText="1"/>
    </xf>
    <xf numFmtId="0" fontId="24" fillId="35" borderId="0" xfId="0" applyNumberFormat="1" applyFont="1" applyFill="1" applyBorder="1" applyAlignment="1" applyProtection="1">
      <alignment horizontal="left" vertical="top" wrapText="1"/>
    </xf>
    <xf numFmtId="165" fontId="24" fillId="35" borderId="0" xfId="0" applyNumberFormat="1" applyFont="1" applyFill="1" applyBorder="1" applyAlignment="1" applyProtection="1">
      <alignment horizontal="righ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165" fontId="24" fillId="0" borderId="0" xfId="0" applyNumberFormat="1" applyFont="1" applyFill="1" applyBorder="1" applyAlignment="1" applyProtection="1">
      <alignment horizontal="right" vertical="top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165" fontId="26" fillId="0" borderId="11" xfId="0" applyNumberFormat="1" applyFont="1" applyFill="1" applyBorder="1" applyAlignment="1" applyProtection="1">
      <alignment horizontal="right" vertical="top" wrapText="1"/>
    </xf>
    <xf numFmtId="165" fontId="0" fillId="0" borderId="0" xfId="0" applyNumberFormat="1"/>
    <xf numFmtId="0" fontId="24" fillId="0" borderId="11" xfId="0" applyNumberFormat="1" applyFont="1" applyFill="1" applyBorder="1" applyAlignment="1" applyProtection="1">
      <alignment horizontal="left" vertical="top" wrapText="1"/>
    </xf>
    <xf numFmtId="0" fontId="28" fillId="0" borderId="11" xfId="0" applyNumberFormat="1" applyFont="1" applyFill="1" applyBorder="1" applyAlignment="1" applyProtection="1">
      <alignment horizontal="left" vertical="top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0" fillId="0" borderId="0" xfId="0" applyNumberFormat="1"/>
    <xf numFmtId="3" fontId="0" fillId="0" borderId="12" xfId="0" applyNumberFormat="1" applyBorder="1"/>
    <xf numFmtId="3" fontId="29" fillId="0" borderId="13" xfId="0" applyNumberFormat="1" applyFont="1" applyBorder="1"/>
    <xf numFmtId="0" fontId="29" fillId="0" borderId="14" xfId="0" applyFont="1" applyBorder="1"/>
    <xf numFmtId="3" fontId="29" fillId="0" borderId="15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9" fillId="0" borderId="0" xfId="0" applyFont="1" applyBorder="1"/>
    <xf numFmtId="3" fontId="29" fillId="0" borderId="0" xfId="0" applyNumberFormat="1" applyFont="1" applyBorder="1"/>
    <xf numFmtId="0" fontId="0" fillId="36" borderId="0" xfId="0" applyFill="1" applyBorder="1" applyAlignment="1">
      <alignment horizontal="center"/>
    </xf>
    <xf numFmtId="3" fontId="0" fillId="36" borderId="0" xfId="0" applyNumberFormat="1" applyFill="1" applyBorder="1"/>
    <xf numFmtId="3" fontId="29" fillId="36" borderId="0" xfId="0" applyNumberFormat="1" applyFont="1" applyFill="1" applyBorder="1"/>
    <xf numFmtId="0" fontId="29" fillId="36" borderId="0" xfId="0" applyFont="1" applyFill="1" applyAlignment="1">
      <alignment horizontal="center"/>
    </xf>
    <xf numFmtId="3" fontId="0" fillId="36" borderId="0" xfId="0" applyNumberFormat="1" applyFill="1"/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3" fontId="0" fillId="0" borderId="0" xfId="0" applyNumberFormat="1" applyFill="1"/>
    <xf numFmtId="3" fontId="29" fillId="0" borderId="0" xfId="0" applyNumberFormat="1" applyFont="1" applyAlignment="1">
      <alignment horizontal="center"/>
    </xf>
    <xf numFmtId="14" fontId="29" fillId="0" borderId="0" xfId="0" applyNumberFormat="1" applyFont="1"/>
    <xf numFmtId="14" fontId="29" fillId="0" borderId="0" xfId="0" applyNumberFormat="1" applyFont="1" applyBorder="1"/>
    <xf numFmtId="14" fontId="29" fillId="36" borderId="0" xfId="0" applyNumberFormat="1" applyFont="1" applyFill="1" applyBorder="1"/>
    <xf numFmtId="14" fontId="0" fillId="0" borderId="0" xfId="0" applyNumberFormat="1"/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23" fillId="34" borderId="0" xfId="0" applyNumberFormat="1" applyFont="1" applyFill="1" applyBorder="1" applyAlignment="1" applyProtection="1">
      <alignment horizontal="left" vertical="top" wrapText="1"/>
    </xf>
    <xf numFmtId="0" fontId="23" fillId="34" borderId="0" xfId="0" applyNumberFormat="1" applyFont="1" applyFill="1" applyBorder="1" applyAlignment="1" applyProtection="1">
      <alignment horizontal="right" vertical="top" wrapText="1"/>
    </xf>
    <xf numFmtId="0" fontId="24" fillId="35" borderId="0" xfId="0" applyNumberFormat="1" applyFont="1" applyFill="1" applyBorder="1" applyAlignment="1" applyProtection="1">
      <alignment horizontal="left" vertical="top" wrapText="1"/>
    </xf>
    <xf numFmtId="165" fontId="24" fillId="35" borderId="0" xfId="0" applyNumberFormat="1" applyFont="1" applyFill="1" applyBorder="1" applyAlignment="1" applyProtection="1">
      <alignment horizontal="right" vertical="top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165" fontId="24" fillId="0" borderId="0" xfId="0" applyNumberFormat="1" applyFont="1" applyFill="1" applyBorder="1" applyAlignment="1" applyProtection="1">
      <alignment horizontal="right" vertical="top" wrapText="1"/>
    </xf>
    <xf numFmtId="165" fontId="25" fillId="35" borderId="0" xfId="0" applyNumberFormat="1" applyFont="1" applyFill="1" applyBorder="1" applyAlignment="1" applyProtection="1">
      <alignment horizontal="right" vertical="top" wrapText="1"/>
    </xf>
    <xf numFmtId="165" fontId="25" fillId="0" borderId="0" xfId="0" applyNumberFormat="1" applyFont="1" applyFill="1" applyBorder="1" applyAlignment="1" applyProtection="1">
      <alignment horizontal="right" vertical="top" wrapText="1"/>
    </xf>
    <xf numFmtId="165" fontId="26" fillId="0" borderId="11" xfId="0" applyNumberFormat="1" applyFont="1" applyFill="1" applyBorder="1" applyAlignment="1" applyProtection="1">
      <alignment horizontal="right" vertical="top" wrapText="1"/>
    </xf>
    <xf numFmtId="166" fontId="24" fillId="0" borderId="11" xfId="0" applyNumberFormat="1" applyFont="1" applyFill="1" applyBorder="1" applyAlignment="1" applyProtection="1">
      <alignment horizontal="left" vertical="top" wrapText="1"/>
    </xf>
    <xf numFmtId="0" fontId="24" fillId="0" borderId="11" xfId="0" applyNumberFormat="1" applyFont="1" applyFill="1" applyBorder="1" applyAlignment="1" applyProtection="1">
      <alignment horizontal="left" vertical="top" wrapText="1"/>
    </xf>
    <xf numFmtId="165" fontId="27" fillId="0" borderId="11" xfId="0" applyNumberFormat="1" applyFont="1" applyFill="1" applyBorder="1" applyAlignment="1" applyProtection="1">
      <alignment horizontal="righ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 customBuiltin="1"/>
    <cellStyle name="Standaard 2" xfId="42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O\AppData\Local\Temp\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7" workbookViewId="0">
      <selection activeCell="K17" sqref="K17:M17"/>
    </sheetView>
  </sheetViews>
  <sheetFormatPr defaultRowHeight="15" customHeight="1"/>
  <cols>
    <col min="1" max="1" width="16" customWidth="1"/>
    <col min="2" max="2" width="1.140625" customWidth="1"/>
    <col min="3" max="3" width="9.140625" hidden="1" customWidth="1"/>
    <col min="4" max="4" width="0.5703125" customWidth="1"/>
    <col min="5" max="5" width="1.28515625" customWidth="1"/>
    <col min="6" max="6" width="15.42578125" customWidth="1"/>
    <col min="7" max="7" width="35" customWidth="1"/>
    <col min="8" max="8" width="10.7109375" customWidth="1"/>
    <col min="9" max="9" width="8.5703125" customWidth="1"/>
    <col min="10" max="11" width="2.140625" customWidth="1"/>
    <col min="12" max="13" width="4.140625" customWidth="1"/>
    <col min="14" max="14" width="9.140625" hidden="1" customWidth="1"/>
    <col min="16" max="16" width="11.28515625" bestFit="1" customWidth="1"/>
  </cols>
  <sheetData>
    <row r="1" spans="1:13" ht="36.950000000000003" customHeight="1">
      <c r="A1" s="42" t="s">
        <v>0</v>
      </c>
      <c r="B1" s="42"/>
      <c r="C1" s="42"/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</row>
    <row r="2" spans="1:13" ht="23.25" customHeight="1">
      <c r="A2" s="1" t="s">
        <v>2</v>
      </c>
      <c r="B2" s="44" t="s">
        <v>3</v>
      </c>
      <c r="C2" s="44"/>
      <c r="D2" s="44"/>
      <c r="E2" s="45" t="s">
        <v>4</v>
      </c>
      <c r="F2" s="45"/>
      <c r="G2" s="45"/>
      <c r="H2" s="45"/>
      <c r="I2" s="45"/>
      <c r="J2" s="45"/>
      <c r="K2" s="45"/>
      <c r="L2" s="45"/>
      <c r="M2" s="45"/>
    </row>
    <row r="3" spans="1:13" ht="23.25" customHeight="1">
      <c r="A3" s="45" t="s">
        <v>5</v>
      </c>
      <c r="B3" s="45"/>
      <c r="C3" s="44" t="s">
        <v>3</v>
      </c>
      <c r="D3" s="44"/>
      <c r="E3" s="44"/>
      <c r="F3" s="46">
        <v>42736</v>
      </c>
      <c r="G3" s="46"/>
      <c r="H3" s="46"/>
      <c r="I3" s="46"/>
      <c r="J3" s="46"/>
      <c r="K3" s="46"/>
      <c r="L3" s="46"/>
      <c r="M3" s="46"/>
    </row>
    <row r="4" spans="1:13" ht="23.25" customHeight="1">
      <c r="A4" s="45" t="s">
        <v>6</v>
      </c>
      <c r="B4" s="45"/>
      <c r="C4" s="44" t="s">
        <v>3</v>
      </c>
      <c r="D4" s="44"/>
      <c r="E4" s="44"/>
      <c r="F4" s="46">
        <v>43100</v>
      </c>
      <c r="G4" s="46"/>
      <c r="H4" s="46"/>
      <c r="I4" s="46"/>
      <c r="J4" s="46"/>
      <c r="K4" s="46"/>
      <c r="L4" s="46"/>
      <c r="M4" s="46"/>
    </row>
    <row r="5" spans="1:13" ht="15" customHeight="1">
      <c r="A5" s="51" t="s">
        <v>7</v>
      </c>
      <c r="B5" s="51"/>
      <c r="C5" s="51"/>
      <c r="D5" s="51"/>
      <c r="E5" s="51"/>
      <c r="F5" s="51"/>
      <c r="G5" s="3" t="s">
        <v>8</v>
      </c>
      <c r="H5" s="3" t="s">
        <v>8</v>
      </c>
      <c r="I5" s="52" t="s">
        <v>8</v>
      </c>
      <c r="J5" s="52"/>
      <c r="K5" s="52" t="s">
        <v>8</v>
      </c>
      <c r="L5" s="52"/>
      <c r="M5" s="52"/>
    </row>
    <row r="6" spans="1:13" ht="15" customHeight="1">
      <c r="A6" s="47" t="s">
        <v>9</v>
      </c>
      <c r="B6" s="47"/>
      <c r="C6" s="47"/>
      <c r="D6" s="47"/>
      <c r="E6" s="47"/>
      <c r="F6" s="47"/>
      <c r="G6" s="4" t="s">
        <v>10</v>
      </c>
      <c r="H6" s="5" t="s">
        <v>11</v>
      </c>
      <c r="I6" s="48" t="s">
        <v>12</v>
      </c>
      <c r="J6" s="48"/>
      <c r="K6" s="48" t="s">
        <v>13</v>
      </c>
      <c r="L6" s="48"/>
      <c r="M6" s="48"/>
    </row>
    <row r="7" spans="1:13" ht="15" customHeight="1">
      <c r="A7" s="49" t="s">
        <v>14</v>
      </c>
      <c r="B7" s="49"/>
      <c r="C7" s="49"/>
      <c r="D7" s="49"/>
      <c r="E7" s="49"/>
      <c r="F7" s="49"/>
      <c r="G7" s="6" t="s">
        <v>15</v>
      </c>
      <c r="H7" s="7">
        <v>71250</v>
      </c>
      <c r="I7" s="50">
        <v>59486.5</v>
      </c>
      <c r="J7" s="50"/>
      <c r="K7" s="50">
        <v>11763.5</v>
      </c>
      <c r="L7" s="50"/>
      <c r="M7" s="50"/>
    </row>
    <row r="8" spans="1:13" ht="15" customHeight="1">
      <c r="A8" s="53" t="s">
        <v>14</v>
      </c>
      <c r="B8" s="53"/>
      <c r="C8" s="53"/>
      <c r="D8" s="53"/>
      <c r="E8" s="53"/>
      <c r="F8" s="53"/>
      <c r="G8" s="8" t="s">
        <v>16</v>
      </c>
      <c r="H8" s="9">
        <v>1576.13</v>
      </c>
      <c r="I8" s="54">
        <v>769.28</v>
      </c>
      <c r="J8" s="54"/>
      <c r="K8" s="54">
        <v>806.85</v>
      </c>
      <c r="L8" s="54"/>
      <c r="M8" s="54"/>
    </row>
    <row r="9" spans="1:13" ht="15" customHeight="1">
      <c r="A9" s="49" t="s">
        <v>17</v>
      </c>
      <c r="B9" s="49"/>
      <c r="C9" s="49"/>
      <c r="D9" s="49"/>
      <c r="E9" s="49"/>
      <c r="F9" s="49"/>
      <c r="G9" s="6" t="s">
        <v>18</v>
      </c>
      <c r="H9" s="7">
        <v>558</v>
      </c>
      <c r="I9" s="50">
        <v>0</v>
      </c>
      <c r="J9" s="50"/>
      <c r="K9" s="50">
        <v>558</v>
      </c>
      <c r="L9" s="50"/>
      <c r="M9" s="50"/>
    </row>
    <row r="10" spans="1:13" ht="15" customHeight="1">
      <c r="A10" s="53" t="s">
        <v>17</v>
      </c>
      <c r="B10" s="53"/>
      <c r="C10" s="53"/>
      <c r="D10" s="53"/>
      <c r="E10" s="53"/>
      <c r="F10" s="53"/>
      <c r="G10" s="8" t="s">
        <v>19</v>
      </c>
      <c r="H10" s="9">
        <v>94070</v>
      </c>
      <c r="I10" s="54">
        <v>64249.27</v>
      </c>
      <c r="J10" s="54"/>
      <c r="K10" s="54">
        <v>29820.73</v>
      </c>
      <c r="L10" s="54"/>
      <c r="M10" s="54"/>
    </row>
    <row r="11" spans="1:13" ht="15" customHeight="1">
      <c r="A11" s="49" t="s">
        <v>17</v>
      </c>
      <c r="B11" s="49"/>
      <c r="C11" s="49"/>
      <c r="D11" s="49"/>
      <c r="E11" s="49"/>
      <c r="F11" s="49"/>
      <c r="G11" s="6" t="s">
        <v>20</v>
      </c>
      <c r="H11" s="7">
        <v>20360.330000000002</v>
      </c>
      <c r="I11" s="50">
        <v>21764.87</v>
      </c>
      <c r="J11" s="50"/>
      <c r="K11" s="55">
        <v>-1404.54</v>
      </c>
      <c r="L11" s="55"/>
      <c r="M11" s="55"/>
    </row>
    <row r="12" spans="1:13" ht="15" customHeight="1">
      <c r="A12" s="49" t="s">
        <v>21</v>
      </c>
      <c r="B12" s="49"/>
      <c r="C12" s="49"/>
      <c r="D12" s="49"/>
      <c r="E12" s="49"/>
      <c r="F12" s="49"/>
      <c r="G12" s="6" t="s">
        <v>22</v>
      </c>
      <c r="H12" s="7">
        <v>0</v>
      </c>
      <c r="I12" s="50">
        <v>9140.9599999999991</v>
      </c>
      <c r="J12" s="50"/>
      <c r="K12" s="55">
        <v>-9140.9599999999991</v>
      </c>
      <c r="L12" s="55"/>
      <c r="M12" s="55"/>
    </row>
    <row r="13" spans="1:13" ht="15" customHeight="1">
      <c r="A13" s="53" t="s">
        <v>21</v>
      </c>
      <c r="B13" s="53"/>
      <c r="C13" s="53"/>
      <c r="D13" s="53"/>
      <c r="E13" s="53"/>
      <c r="F13" s="53"/>
      <c r="G13" s="8" t="s">
        <v>23</v>
      </c>
      <c r="H13" s="9">
        <v>31407.85</v>
      </c>
      <c r="I13" s="54">
        <v>44859.43</v>
      </c>
      <c r="J13" s="54"/>
      <c r="K13" s="56">
        <v>-13451.58</v>
      </c>
      <c r="L13" s="56"/>
      <c r="M13" s="56"/>
    </row>
    <row r="14" spans="1:13" ht="15" customHeight="1">
      <c r="A14" s="49" t="s">
        <v>24</v>
      </c>
      <c r="B14" s="49"/>
      <c r="C14" s="49"/>
      <c r="D14" s="49"/>
      <c r="E14" s="49"/>
      <c r="F14" s="49"/>
      <c r="G14" s="6" t="s">
        <v>25</v>
      </c>
      <c r="H14" s="7">
        <v>0</v>
      </c>
      <c r="I14" s="50">
        <v>1750</v>
      </c>
      <c r="J14" s="50"/>
      <c r="K14" s="55">
        <v>-1750</v>
      </c>
      <c r="L14" s="55"/>
      <c r="M14" s="55"/>
    </row>
    <row r="15" spans="1:13" ht="15" customHeight="1">
      <c r="A15" s="53" t="s">
        <v>26</v>
      </c>
      <c r="B15" s="53"/>
      <c r="C15" s="53"/>
      <c r="D15" s="53"/>
      <c r="E15" s="53"/>
      <c r="F15" s="53"/>
      <c r="G15" s="8" t="s">
        <v>27</v>
      </c>
      <c r="H15" s="9">
        <v>2892.97</v>
      </c>
      <c r="I15" s="54">
        <v>10734.78</v>
      </c>
      <c r="J15" s="54"/>
      <c r="K15" s="56">
        <v>-7841.81</v>
      </c>
      <c r="L15" s="56"/>
      <c r="M15" s="56"/>
    </row>
    <row r="16" spans="1:13" ht="15" customHeight="1">
      <c r="A16" s="44" t="s">
        <v>8</v>
      </c>
      <c r="B16" s="44"/>
      <c r="C16" s="44"/>
      <c r="D16" s="44"/>
      <c r="E16" s="44"/>
      <c r="F16" s="44"/>
      <c r="G16" s="2" t="s">
        <v>8</v>
      </c>
      <c r="H16" s="2" t="s">
        <v>8</v>
      </c>
      <c r="I16" s="44" t="s">
        <v>8</v>
      </c>
      <c r="J16" s="44"/>
      <c r="K16" s="44" t="s">
        <v>8</v>
      </c>
      <c r="L16" s="44"/>
      <c r="M16" s="44"/>
    </row>
    <row r="17" spans="1:16" ht="15" customHeight="1">
      <c r="A17" s="44" t="s">
        <v>8</v>
      </c>
      <c r="B17" s="44"/>
      <c r="C17" s="44"/>
      <c r="D17" s="44"/>
      <c r="E17" s="44"/>
      <c r="F17" s="44"/>
      <c r="G17" s="10" t="s">
        <v>28</v>
      </c>
      <c r="H17" s="11">
        <v>253083.19</v>
      </c>
      <c r="I17" s="57">
        <v>243722.99999999994</v>
      </c>
      <c r="J17" s="57"/>
      <c r="K17" s="57">
        <v>9360.1899999999987</v>
      </c>
      <c r="L17" s="57"/>
      <c r="M17" s="57"/>
    </row>
    <row r="18" spans="1:16" ht="27.95" customHeight="1">
      <c r="A18" s="44" t="s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6" ht="15" customHeight="1">
      <c r="A19" s="51" t="s">
        <v>29</v>
      </c>
      <c r="B19" s="51"/>
      <c r="C19" s="51"/>
      <c r="D19" s="51"/>
      <c r="E19" s="51"/>
      <c r="F19" s="51"/>
      <c r="G19" s="3" t="s">
        <v>8</v>
      </c>
      <c r="H19" s="3" t="s">
        <v>8</v>
      </c>
      <c r="I19" s="52" t="s">
        <v>8</v>
      </c>
      <c r="J19" s="52"/>
      <c r="K19" s="52" t="s">
        <v>8</v>
      </c>
      <c r="L19" s="52"/>
      <c r="M19" s="52"/>
    </row>
    <row r="20" spans="1:16" ht="15" customHeight="1">
      <c r="A20" s="47" t="s">
        <v>9</v>
      </c>
      <c r="B20" s="47"/>
      <c r="C20" s="47"/>
      <c r="D20" s="47"/>
      <c r="E20" s="47"/>
      <c r="F20" s="47"/>
      <c r="G20" s="4" t="s">
        <v>10</v>
      </c>
      <c r="H20" s="5" t="s">
        <v>11</v>
      </c>
      <c r="I20" s="48" t="s">
        <v>12</v>
      </c>
      <c r="J20" s="48"/>
      <c r="K20" s="48" t="s">
        <v>13</v>
      </c>
      <c r="L20" s="48"/>
      <c r="M20" s="48"/>
    </row>
    <row r="21" spans="1:16" ht="15" customHeight="1">
      <c r="A21" s="53" t="s">
        <v>30</v>
      </c>
      <c r="B21" s="53"/>
      <c r="C21" s="53"/>
      <c r="D21" s="53"/>
      <c r="E21" s="53"/>
      <c r="F21" s="53"/>
      <c r="G21" s="8" t="s">
        <v>31</v>
      </c>
      <c r="H21" s="9">
        <v>424.65</v>
      </c>
      <c r="I21" s="54">
        <v>76</v>
      </c>
      <c r="J21" s="54"/>
      <c r="K21" s="54">
        <v>348.65</v>
      </c>
      <c r="L21" s="54"/>
      <c r="M21" s="54"/>
      <c r="P21" s="12">
        <f>K21+K23+K24</f>
        <v>1691.31</v>
      </c>
    </row>
    <row r="22" spans="1:16" ht="15" customHeight="1">
      <c r="A22" s="49" t="s">
        <v>30</v>
      </c>
      <c r="B22" s="49"/>
      <c r="C22" s="49"/>
      <c r="D22" s="49"/>
      <c r="E22" s="49"/>
      <c r="F22" s="49"/>
      <c r="G22" s="6" t="s">
        <v>32</v>
      </c>
      <c r="H22" s="7">
        <v>330.92</v>
      </c>
      <c r="I22" s="50">
        <v>50</v>
      </c>
      <c r="J22" s="50"/>
      <c r="K22" s="50">
        <v>280.92</v>
      </c>
      <c r="L22" s="50"/>
      <c r="M22" s="50"/>
    </row>
    <row r="23" spans="1:16" ht="15" customHeight="1">
      <c r="A23" s="53" t="s">
        <v>30</v>
      </c>
      <c r="B23" s="53"/>
      <c r="C23" s="53"/>
      <c r="D23" s="53"/>
      <c r="E23" s="53"/>
      <c r="F23" s="53"/>
      <c r="G23" s="8" t="s">
        <v>33</v>
      </c>
      <c r="H23" s="9">
        <v>665.3</v>
      </c>
      <c r="I23" s="54">
        <v>0</v>
      </c>
      <c r="J23" s="54"/>
      <c r="K23" s="54">
        <v>665.3</v>
      </c>
      <c r="L23" s="54"/>
      <c r="M23" s="54"/>
    </row>
    <row r="24" spans="1:16" ht="15" customHeight="1">
      <c r="A24" s="49" t="s">
        <v>30</v>
      </c>
      <c r="B24" s="49"/>
      <c r="C24" s="49"/>
      <c r="D24" s="49"/>
      <c r="E24" s="49"/>
      <c r="F24" s="49"/>
      <c r="G24" s="6" t="s">
        <v>34</v>
      </c>
      <c r="H24" s="7">
        <v>1954.86</v>
      </c>
      <c r="I24" s="50">
        <v>1277.5</v>
      </c>
      <c r="J24" s="50"/>
      <c r="K24" s="50">
        <v>677.36</v>
      </c>
      <c r="L24" s="50"/>
      <c r="M24" s="50"/>
    </row>
    <row r="25" spans="1:16" ht="15" customHeight="1">
      <c r="A25" s="53" t="s">
        <v>35</v>
      </c>
      <c r="B25" s="53"/>
      <c r="C25" s="53"/>
      <c r="D25" s="53"/>
      <c r="E25" s="53"/>
      <c r="F25" s="53"/>
      <c r="G25" s="8" t="s">
        <v>36</v>
      </c>
      <c r="H25" s="9">
        <v>100.27</v>
      </c>
      <c r="I25" s="54">
        <v>0</v>
      </c>
      <c r="J25" s="54"/>
      <c r="K25" s="54">
        <v>100.27</v>
      </c>
      <c r="L25" s="54"/>
      <c r="M25" s="54"/>
    </row>
    <row r="26" spans="1:16" ht="15" customHeight="1">
      <c r="A26" s="49" t="s">
        <v>37</v>
      </c>
      <c r="B26" s="49"/>
      <c r="C26" s="49"/>
      <c r="D26" s="49"/>
      <c r="E26" s="49"/>
      <c r="F26" s="49"/>
      <c r="G26" s="6" t="s">
        <v>38</v>
      </c>
      <c r="H26" s="7">
        <v>38961.919999999998</v>
      </c>
      <c r="I26" s="50">
        <v>280</v>
      </c>
      <c r="J26" s="50"/>
      <c r="K26" s="50">
        <v>38681.919999999998</v>
      </c>
      <c r="L26" s="50"/>
      <c r="M26" s="50"/>
    </row>
    <row r="27" spans="1:16" ht="15" customHeight="1">
      <c r="A27" s="53" t="s">
        <v>39</v>
      </c>
      <c r="B27" s="53"/>
      <c r="C27" s="53"/>
      <c r="D27" s="53"/>
      <c r="E27" s="53"/>
      <c r="F27" s="53"/>
      <c r="G27" s="8" t="s">
        <v>40</v>
      </c>
      <c r="H27" s="9">
        <v>776.25</v>
      </c>
      <c r="I27" s="54">
        <v>95</v>
      </c>
      <c r="J27" s="54"/>
      <c r="K27" s="54">
        <v>681.25</v>
      </c>
      <c r="L27" s="54"/>
      <c r="M27" s="54"/>
    </row>
    <row r="28" spans="1:16" ht="15" customHeight="1">
      <c r="A28" s="49" t="s">
        <v>39</v>
      </c>
      <c r="B28" s="49"/>
      <c r="C28" s="49"/>
      <c r="D28" s="49"/>
      <c r="E28" s="49"/>
      <c r="F28" s="49"/>
      <c r="G28" s="6" t="s">
        <v>41</v>
      </c>
      <c r="H28" s="7">
        <v>479.86</v>
      </c>
      <c r="I28" s="50">
        <v>0</v>
      </c>
      <c r="J28" s="50"/>
      <c r="K28" s="50">
        <v>479.86</v>
      </c>
      <c r="L28" s="50"/>
      <c r="M28" s="50"/>
    </row>
    <row r="29" spans="1:16" ht="15" customHeight="1">
      <c r="A29" s="53" t="s">
        <v>39</v>
      </c>
      <c r="B29" s="53"/>
      <c r="C29" s="53"/>
      <c r="D29" s="53"/>
      <c r="E29" s="53"/>
      <c r="F29" s="53"/>
      <c r="G29" s="8" t="s">
        <v>42</v>
      </c>
      <c r="H29" s="9">
        <v>324.66000000000003</v>
      </c>
      <c r="I29" s="54">
        <v>0</v>
      </c>
      <c r="J29" s="54"/>
      <c r="K29" s="54">
        <v>324.66000000000003</v>
      </c>
      <c r="L29" s="54"/>
      <c r="M29" s="54"/>
    </row>
    <row r="30" spans="1:16" ht="15" customHeight="1">
      <c r="A30" s="49" t="s">
        <v>39</v>
      </c>
      <c r="B30" s="49"/>
      <c r="C30" s="49"/>
      <c r="D30" s="49"/>
      <c r="E30" s="49"/>
      <c r="F30" s="49"/>
      <c r="G30" s="6" t="s">
        <v>43</v>
      </c>
      <c r="H30" s="7">
        <v>10008.950000000001</v>
      </c>
      <c r="I30" s="50">
        <v>3131.15</v>
      </c>
      <c r="J30" s="50"/>
      <c r="K30" s="50">
        <v>6877.8</v>
      </c>
      <c r="L30" s="50"/>
      <c r="M30" s="50"/>
    </row>
    <row r="31" spans="1:16" ht="15" customHeight="1">
      <c r="A31" s="53" t="s">
        <v>39</v>
      </c>
      <c r="B31" s="53"/>
      <c r="C31" s="53"/>
      <c r="D31" s="53"/>
      <c r="E31" s="53"/>
      <c r="F31" s="53"/>
      <c r="G31" s="8" t="s">
        <v>44</v>
      </c>
      <c r="H31" s="9">
        <v>2735.11</v>
      </c>
      <c r="I31" s="54">
        <v>774.56</v>
      </c>
      <c r="J31" s="54"/>
      <c r="K31" s="54">
        <v>1960.55</v>
      </c>
      <c r="L31" s="54"/>
      <c r="M31" s="54"/>
    </row>
    <row r="32" spans="1:16" ht="15" customHeight="1">
      <c r="A32" s="49" t="s">
        <v>45</v>
      </c>
      <c r="B32" s="49"/>
      <c r="C32" s="49"/>
      <c r="D32" s="49"/>
      <c r="E32" s="49"/>
      <c r="F32" s="49"/>
      <c r="G32" s="6" t="s">
        <v>46</v>
      </c>
      <c r="H32" s="7">
        <v>174.36</v>
      </c>
      <c r="I32" s="50">
        <v>10.65</v>
      </c>
      <c r="J32" s="50"/>
      <c r="K32" s="50">
        <v>163.71</v>
      </c>
      <c r="L32" s="50"/>
      <c r="M32" s="50"/>
    </row>
    <row r="33" spans="1:16" ht="15" customHeight="1">
      <c r="A33" s="53" t="s">
        <v>45</v>
      </c>
      <c r="B33" s="53"/>
      <c r="C33" s="53"/>
      <c r="D33" s="53"/>
      <c r="E33" s="53"/>
      <c r="F33" s="53"/>
      <c r="G33" s="8" t="s">
        <v>47</v>
      </c>
      <c r="H33" s="9">
        <v>719.91</v>
      </c>
      <c r="I33" s="54">
        <v>154.65</v>
      </c>
      <c r="J33" s="54"/>
      <c r="K33" s="54">
        <v>565.26</v>
      </c>
      <c r="L33" s="54"/>
      <c r="M33" s="54"/>
    </row>
    <row r="34" spans="1:16" ht="15" customHeight="1">
      <c r="A34" s="49" t="s">
        <v>48</v>
      </c>
      <c r="B34" s="49"/>
      <c r="C34" s="49"/>
      <c r="D34" s="49"/>
      <c r="E34" s="49"/>
      <c r="F34" s="49"/>
      <c r="G34" s="6" t="s">
        <v>49</v>
      </c>
      <c r="H34" s="7">
        <v>0</v>
      </c>
      <c r="I34" s="50">
        <v>58592</v>
      </c>
      <c r="J34" s="50"/>
      <c r="K34" s="55">
        <v>-58592</v>
      </c>
      <c r="L34" s="55"/>
      <c r="M34" s="55"/>
      <c r="P34" s="12">
        <f>K34+K35</f>
        <v>-61358</v>
      </c>
    </row>
    <row r="35" spans="1:16" ht="15" customHeight="1">
      <c r="A35" s="53" t="s">
        <v>48</v>
      </c>
      <c r="B35" s="53"/>
      <c r="C35" s="53"/>
      <c r="D35" s="53"/>
      <c r="E35" s="53"/>
      <c r="F35" s="53"/>
      <c r="G35" s="8" t="s">
        <v>50</v>
      </c>
      <c r="H35" s="9">
        <v>650</v>
      </c>
      <c r="I35" s="54">
        <v>3416</v>
      </c>
      <c r="J35" s="54"/>
      <c r="K35" s="56">
        <v>-2766</v>
      </c>
      <c r="L35" s="56"/>
      <c r="M35" s="56"/>
    </row>
    <row r="36" spans="1:16" ht="15" customHeight="1">
      <c r="A36" s="49" t="s">
        <v>51</v>
      </c>
      <c r="B36" s="49"/>
      <c r="C36" s="49"/>
      <c r="D36" s="49"/>
      <c r="E36" s="49"/>
      <c r="F36" s="49"/>
      <c r="G36" s="6" t="s">
        <v>52</v>
      </c>
      <c r="H36" s="7">
        <v>757</v>
      </c>
      <c r="I36" s="50">
        <v>757</v>
      </c>
      <c r="J36" s="50"/>
      <c r="K36" s="50">
        <v>0</v>
      </c>
      <c r="L36" s="50"/>
      <c r="M36" s="50"/>
    </row>
    <row r="37" spans="1:16" ht="15" customHeight="1">
      <c r="A37" s="53" t="s">
        <v>51</v>
      </c>
      <c r="B37" s="53"/>
      <c r="C37" s="53"/>
      <c r="D37" s="53"/>
      <c r="E37" s="53"/>
      <c r="F37" s="53"/>
      <c r="G37" s="8" t="s">
        <v>53</v>
      </c>
      <c r="H37" s="9">
        <v>0</v>
      </c>
      <c r="I37" s="54">
        <v>208</v>
      </c>
      <c r="J37" s="54"/>
      <c r="K37" s="56">
        <v>-208</v>
      </c>
      <c r="L37" s="56"/>
      <c r="M37" s="56"/>
    </row>
    <row r="38" spans="1:16" ht="15" customHeight="1">
      <c r="A38" s="49" t="s">
        <v>51</v>
      </c>
      <c r="B38" s="49"/>
      <c r="C38" s="49"/>
      <c r="D38" s="49"/>
      <c r="E38" s="49"/>
      <c r="F38" s="49"/>
      <c r="G38" s="6" t="s">
        <v>54</v>
      </c>
      <c r="H38" s="7">
        <v>0</v>
      </c>
      <c r="I38" s="50">
        <v>35</v>
      </c>
      <c r="J38" s="50"/>
      <c r="K38" s="55">
        <v>-35</v>
      </c>
      <c r="L38" s="55"/>
      <c r="M38" s="55"/>
      <c r="P38" s="12">
        <f>K37+K38+K40</f>
        <v>-1588.15</v>
      </c>
    </row>
    <row r="39" spans="1:16" ht="15" customHeight="1">
      <c r="A39" s="53" t="s">
        <v>55</v>
      </c>
      <c r="B39" s="53"/>
      <c r="C39" s="53"/>
      <c r="D39" s="53"/>
      <c r="E39" s="53"/>
      <c r="F39" s="53"/>
      <c r="G39" s="8" t="s">
        <v>56</v>
      </c>
      <c r="H39" s="9">
        <v>7.5</v>
      </c>
      <c r="I39" s="54">
        <v>7.5</v>
      </c>
      <c r="J39" s="54"/>
      <c r="K39" s="54">
        <v>0</v>
      </c>
      <c r="L39" s="54"/>
      <c r="M39" s="54"/>
    </row>
    <row r="40" spans="1:16" ht="15" customHeight="1">
      <c r="A40" s="49" t="s">
        <v>55</v>
      </c>
      <c r="B40" s="49"/>
      <c r="C40" s="49"/>
      <c r="D40" s="49"/>
      <c r="E40" s="49"/>
      <c r="F40" s="49"/>
      <c r="G40" s="6" t="s">
        <v>57</v>
      </c>
      <c r="H40" s="7">
        <v>367.5</v>
      </c>
      <c r="I40" s="50">
        <v>1712.65</v>
      </c>
      <c r="J40" s="50"/>
      <c r="K40" s="55">
        <v>-1345.15</v>
      </c>
      <c r="L40" s="55"/>
      <c r="M40" s="55"/>
    </row>
    <row r="41" spans="1:16" ht="15" customHeight="1">
      <c r="A41" s="53" t="s">
        <v>58</v>
      </c>
      <c r="B41" s="53"/>
      <c r="C41" s="53"/>
      <c r="D41" s="53"/>
      <c r="E41" s="53"/>
      <c r="F41" s="53"/>
      <c r="G41" s="8" t="s">
        <v>59</v>
      </c>
      <c r="H41" s="9">
        <v>0</v>
      </c>
      <c r="I41" s="54">
        <v>1987.5</v>
      </c>
      <c r="J41" s="54"/>
      <c r="K41" s="56">
        <v>-1987.5</v>
      </c>
      <c r="L41" s="56"/>
      <c r="M41" s="56"/>
    </row>
    <row r="42" spans="1:16" ht="15" customHeight="1">
      <c r="A42" s="49" t="s">
        <v>58</v>
      </c>
      <c r="B42" s="49"/>
      <c r="C42" s="49"/>
      <c r="D42" s="49"/>
      <c r="E42" s="49"/>
      <c r="F42" s="49"/>
      <c r="G42" s="6" t="s">
        <v>60</v>
      </c>
      <c r="H42" s="7">
        <v>0</v>
      </c>
      <c r="I42" s="50">
        <v>675.05</v>
      </c>
      <c r="J42" s="50"/>
      <c r="K42" s="55">
        <v>-675.05</v>
      </c>
      <c r="L42" s="55"/>
      <c r="M42" s="55"/>
    </row>
    <row r="43" spans="1:16" ht="15" customHeight="1">
      <c r="A43" s="53" t="s">
        <v>58</v>
      </c>
      <c r="B43" s="53"/>
      <c r="C43" s="53"/>
      <c r="D43" s="53"/>
      <c r="E43" s="53"/>
      <c r="F43" s="53"/>
      <c r="G43" s="8" t="s">
        <v>61</v>
      </c>
      <c r="H43" s="9">
        <v>765</v>
      </c>
      <c r="I43" s="54">
        <v>765</v>
      </c>
      <c r="J43" s="54"/>
      <c r="K43" s="54">
        <v>0</v>
      </c>
      <c r="L43" s="54"/>
      <c r="M43" s="54"/>
    </row>
    <row r="44" spans="1:16" ht="15" customHeight="1">
      <c r="A44" s="49" t="s">
        <v>62</v>
      </c>
      <c r="B44" s="49"/>
      <c r="C44" s="49"/>
      <c r="D44" s="49"/>
      <c r="E44" s="49"/>
      <c r="F44" s="49"/>
      <c r="G44" s="6" t="s">
        <v>63</v>
      </c>
      <c r="H44" s="7">
        <v>4441</v>
      </c>
      <c r="I44" s="50">
        <v>0</v>
      </c>
      <c r="J44" s="50"/>
      <c r="K44" s="50">
        <v>4441</v>
      </c>
      <c r="L44" s="50"/>
      <c r="M44" s="50"/>
    </row>
    <row r="45" spans="1:16" ht="15" customHeight="1">
      <c r="A45" s="44" t="s">
        <v>8</v>
      </c>
      <c r="B45" s="44"/>
      <c r="C45" s="44"/>
      <c r="D45" s="44"/>
      <c r="E45" s="44"/>
      <c r="F45" s="44"/>
      <c r="G45" s="2" t="s">
        <v>8</v>
      </c>
      <c r="H45" s="2" t="s">
        <v>8</v>
      </c>
      <c r="I45" s="44" t="s">
        <v>8</v>
      </c>
      <c r="J45" s="44"/>
      <c r="K45" s="44" t="s">
        <v>8</v>
      </c>
      <c r="L45" s="44"/>
      <c r="M45" s="44"/>
    </row>
    <row r="46" spans="1:16" ht="15" customHeight="1">
      <c r="A46" s="44" t="s">
        <v>8</v>
      </c>
      <c r="B46" s="44"/>
      <c r="C46" s="44"/>
      <c r="D46" s="44"/>
      <c r="E46" s="44"/>
      <c r="F46" s="44"/>
      <c r="G46" s="10" t="s">
        <v>64</v>
      </c>
      <c r="H46" s="11">
        <v>64645.020000000004</v>
      </c>
      <c r="I46" s="57">
        <v>74005.209999999992</v>
      </c>
      <c r="J46" s="57"/>
      <c r="K46" s="60">
        <v>-9360.1899999999896</v>
      </c>
      <c r="L46" s="60"/>
      <c r="M46" s="60"/>
    </row>
    <row r="47" spans="1:16" ht="15" customHeight="1">
      <c r="A47" s="44" t="s">
        <v>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6" ht="15" customHeight="1">
      <c r="A48" s="58">
        <v>43189.699942129628</v>
      </c>
      <c r="B48" s="58"/>
      <c r="C48" s="58"/>
      <c r="D48" s="58"/>
      <c r="E48" s="58"/>
      <c r="F48" s="58"/>
      <c r="G48" s="58"/>
      <c r="H48" s="58"/>
      <c r="I48" s="58"/>
      <c r="J48" s="59" t="s">
        <v>65</v>
      </c>
      <c r="K48" s="59"/>
      <c r="L48" s="14" t="s">
        <v>66</v>
      </c>
      <c r="M48" s="13" t="s">
        <v>65</v>
      </c>
    </row>
  </sheetData>
  <mergeCells count="137">
    <mergeCell ref="A47:M47"/>
    <mergeCell ref="A48:I48"/>
    <mergeCell ref="J48:K48"/>
    <mergeCell ref="A45:F45"/>
    <mergeCell ref="I45:J45"/>
    <mergeCell ref="K45:M45"/>
    <mergeCell ref="A46:F46"/>
    <mergeCell ref="I46:J46"/>
    <mergeCell ref="K46:M46"/>
    <mergeCell ref="A43:F43"/>
    <mergeCell ref="I43:J43"/>
    <mergeCell ref="K43:M43"/>
    <mergeCell ref="A44:F44"/>
    <mergeCell ref="I44:J44"/>
    <mergeCell ref="K44:M44"/>
    <mergeCell ref="A41:F41"/>
    <mergeCell ref="I41:J41"/>
    <mergeCell ref="K41:M41"/>
    <mergeCell ref="A42:F42"/>
    <mergeCell ref="I42:J42"/>
    <mergeCell ref="K42:M42"/>
    <mergeCell ref="A39:F39"/>
    <mergeCell ref="I39:J39"/>
    <mergeCell ref="K39:M39"/>
    <mergeCell ref="A40:F40"/>
    <mergeCell ref="I40:J40"/>
    <mergeCell ref="K40:M40"/>
    <mergeCell ref="A37:F37"/>
    <mergeCell ref="I37:J37"/>
    <mergeCell ref="K37:M37"/>
    <mergeCell ref="A38:F38"/>
    <mergeCell ref="I38:J38"/>
    <mergeCell ref="K38:M38"/>
    <mergeCell ref="A35:F35"/>
    <mergeCell ref="I35:J35"/>
    <mergeCell ref="K35:M35"/>
    <mergeCell ref="A36:F36"/>
    <mergeCell ref="I36:J36"/>
    <mergeCell ref="K36:M36"/>
    <mergeCell ref="A33:F33"/>
    <mergeCell ref="I33:J33"/>
    <mergeCell ref="K33:M33"/>
    <mergeCell ref="A34:F34"/>
    <mergeCell ref="I34:J34"/>
    <mergeCell ref="K34:M34"/>
    <mergeCell ref="A31:F31"/>
    <mergeCell ref="I31:J31"/>
    <mergeCell ref="K31:M31"/>
    <mergeCell ref="A32:F32"/>
    <mergeCell ref="I32:J32"/>
    <mergeCell ref="K32:M32"/>
    <mergeCell ref="A29:F29"/>
    <mergeCell ref="I29:J29"/>
    <mergeCell ref="K29:M29"/>
    <mergeCell ref="A30:F30"/>
    <mergeCell ref="I30:J30"/>
    <mergeCell ref="K30:M30"/>
    <mergeCell ref="A27:F27"/>
    <mergeCell ref="I27:J27"/>
    <mergeCell ref="K27:M27"/>
    <mergeCell ref="A28:F28"/>
    <mergeCell ref="I28:J28"/>
    <mergeCell ref="K28:M28"/>
    <mergeCell ref="A25:F25"/>
    <mergeCell ref="I25:J25"/>
    <mergeCell ref="K25:M25"/>
    <mergeCell ref="A26:F26"/>
    <mergeCell ref="I26:J26"/>
    <mergeCell ref="K26:M26"/>
    <mergeCell ref="A23:F23"/>
    <mergeCell ref="I23:J23"/>
    <mergeCell ref="K23:M23"/>
    <mergeCell ref="A24:F24"/>
    <mergeCell ref="I24:J24"/>
    <mergeCell ref="K24:M24"/>
    <mergeCell ref="A21:F21"/>
    <mergeCell ref="I21:J21"/>
    <mergeCell ref="K21:M21"/>
    <mergeCell ref="A22:F22"/>
    <mergeCell ref="I22:J22"/>
    <mergeCell ref="K22:M22"/>
    <mergeCell ref="A18:M18"/>
    <mergeCell ref="A19:F19"/>
    <mergeCell ref="I19:J19"/>
    <mergeCell ref="K19:M19"/>
    <mergeCell ref="A20:F20"/>
    <mergeCell ref="I20:J20"/>
    <mergeCell ref="K20:M20"/>
    <mergeCell ref="A16:F16"/>
    <mergeCell ref="I16:J16"/>
    <mergeCell ref="K16:M16"/>
    <mergeCell ref="A17:F17"/>
    <mergeCell ref="I17:J17"/>
    <mergeCell ref="K17:M17"/>
    <mergeCell ref="A14:F14"/>
    <mergeCell ref="I14:J14"/>
    <mergeCell ref="K14:M14"/>
    <mergeCell ref="A15:F15"/>
    <mergeCell ref="I15:J15"/>
    <mergeCell ref="K15:M15"/>
    <mergeCell ref="A12:F12"/>
    <mergeCell ref="I12:J12"/>
    <mergeCell ref="K12:M12"/>
    <mergeCell ref="A13:F13"/>
    <mergeCell ref="I13:J13"/>
    <mergeCell ref="K13:M13"/>
    <mergeCell ref="A10:F10"/>
    <mergeCell ref="I10:J10"/>
    <mergeCell ref="K10:M10"/>
    <mergeCell ref="A11:F11"/>
    <mergeCell ref="I11:J11"/>
    <mergeCell ref="K11:M11"/>
    <mergeCell ref="A8:F8"/>
    <mergeCell ref="I8:J8"/>
    <mergeCell ref="K8:M8"/>
    <mergeCell ref="A9:F9"/>
    <mergeCell ref="I9:J9"/>
    <mergeCell ref="K9:M9"/>
    <mergeCell ref="A7:F7"/>
    <mergeCell ref="I7:J7"/>
    <mergeCell ref="K7:M7"/>
    <mergeCell ref="A4:B4"/>
    <mergeCell ref="C4:E4"/>
    <mergeCell ref="F4:M4"/>
    <mergeCell ref="A5:F5"/>
    <mergeCell ref="I5:J5"/>
    <mergeCell ref="K5:M5"/>
    <mergeCell ref="A1:C1"/>
    <mergeCell ref="D1:M1"/>
    <mergeCell ref="B2:D2"/>
    <mergeCell ref="E2:M2"/>
    <mergeCell ref="A3:B3"/>
    <mergeCell ref="C3:E3"/>
    <mergeCell ref="F3:M3"/>
    <mergeCell ref="A6:F6"/>
    <mergeCell ref="I6:J6"/>
    <mergeCell ref="K6:M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49" sqref="A49"/>
    </sheetView>
  </sheetViews>
  <sheetFormatPr defaultRowHeight="15" customHeight="1"/>
  <cols>
    <col min="1" max="1" width="35.7109375" bestFit="1" customWidth="1"/>
    <col min="6" max="6" width="14.42578125" customWidth="1"/>
    <col min="7" max="7" width="3.85546875" customWidth="1"/>
    <col min="8" max="8" width="0.28515625" customWidth="1"/>
    <col min="9" max="9" width="4" customWidth="1"/>
    <col min="10" max="10" width="21.5703125" bestFit="1" customWidth="1"/>
  </cols>
  <sheetData>
    <row r="1" spans="1:15" ht="15" customHeight="1">
      <c r="F1" s="15" t="s">
        <v>114</v>
      </c>
      <c r="G1" s="15"/>
      <c r="H1" s="15"/>
      <c r="I1" s="15"/>
    </row>
    <row r="3" spans="1:15" ht="15" customHeight="1">
      <c r="A3" s="16" t="s">
        <v>67</v>
      </c>
      <c r="B3" s="17">
        <v>2019</v>
      </c>
      <c r="C3" s="35">
        <v>2020</v>
      </c>
      <c r="D3" s="35">
        <v>2021</v>
      </c>
      <c r="E3" s="35" t="s">
        <v>94</v>
      </c>
      <c r="F3" s="17" t="s">
        <v>68</v>
      </c>
      <c r="G3" s="17"/>
      <c r="H3" s="31"/>
      <c r="I3" s="17"/>
      <c r="J3" s="33" t="s">
        <v>69</v>
      </c>
      <c r="K3" s="17">
        <v>2019</v>
      </c>
      <c r="L3" s="35">
        <v>2020</v>
      </c>
      <c r="M3" s="35">
        <v>2021</v>
      </c>
      <c r="N3" s="35" t="s">
        <v>94</v>
      </c>
      <c r="O3" s="17" t="s">
        <v>68</v>
      </c>
    </row>
    <row r="4" spans="1:15" ht="15" customHeight="1">
      <c r="B4" s="17" t="s">
        <v>70</v>
      </c>
      <c r="C4" s="35" t="s">
        <v>70</v>
      </c>
      <c r="D4" s="35" t="s">
        <v>70</v>
      </c>
      <c r="E4" s="35"/>
      <c r="F4" s="17" t="s">
        <v>70</v>
      </c>
      <c r="G4" s="17"/>
      <c r="H4" s="31"/>
      <c r="I4" s="17"/>
      <c r="J4" s="34"/>
      <c r="K4" s="17" t="s">
        <v>70</v>
      </c>
      <c r="L4" s="35" t="s">
        <v>70</v>
      </c>
      <c r="M4" s="35" t="s">
        <v>70</v>
      </c>
      <c r="N4" s="35"/>
      <c r="O4" s="17" t="s">
        <v>70</v>
      </c>
    </row>
    <row r="5" spans="1:15" ht="15" customHeight="1">
      <c r="A5" s="18" t="s">
        <v>71</v>
      </c>
      <c r="B5" s="36">
        <v>43228</v>
      </c>
      <c r="C5" s="18">
        <f>38981</f>
        <v>38981</v>
      </c>
      <c r="D5" s="18">
        <v>5375</v>
      </c>
      <c r="E5" s="18">
        <f>C5+D5</f>
        <v>44356</v>
      </c>
      <c r="F5" s="18">
        <v>67000</v>
      </c>
      <c r="G5" s="18"/>
      <c r="H5" s="32"/>
      <c r="I5" s="18"/>
      <c r="J5" s="25" t="s">
        <v>72</v>
      </c>
      <c r="K5" s="18">
        <f>63098-1464-20</f>
        <v>61614</v>
      </c>
      <c r="L5" s="18">
        <f>60329-786</f>
        <v>59543</v>
      </c>
      <c r="M5" s="18">
        <f>20833-952</f>
        <v>19881</v>
      </c>
      <c r="N5" s="18">
        <f>L5+M5</f>
        <v>79424</v>
      </c>
      <c r="O5" s="18">
        <f>98000-5200</f>
        <v>92800</v>
      </c>
    </row>
    <row r="6" spans="1:15" ht="15" customHeight="1">
      <c r="A6" s="18" t="s">
        <v>73</v>
      </c>
      <c r="B6" s="36">
        <v>287</v>
      </c>
      <c r="C6" s="18">
        <v>324</v>
      </c>
      <c r="D6" s="18">
        <v>199</v>
      </c>
      <c r="E6" s="18">
        <f t="shared" ref="E6:E16" si="0">C6+D6</f>
        <v>523</v>
      </c>
      <c r="F6" s="18">
        <v>450</v>
      </c>
      <c r="G6" s="18"/>
      <c r="H6" s="32"/>
      <c r="I6" s="18"/>
      <c r="J6" s="25" t="s">
        <v>74</v>
      </c>
      <c r="K6" s="18">
        <f>1750+1121+842+201</f>
        <v>3914</v>
      </c>
      <c r="L6" s="18">
        <f>270-4+131</f>
        <v>397</v>
      </c>
      <c r="M6" s="18">
        <f>775+3056</f>
        <v>3831</v>
      </c>
      <c r="N6" s="18">
        <f t="shared" ref="N6:N8" si="1">L6+M6</f>
        <v>4228</v>
      </c>
      <c r="O6" s="18">
        <v>5000</v>
      </c>
    </row>
    <row r="7" spans="1:15" ht="15" customHeight="1">
      <c r="A7" s="18" t="s">
        <v>75</v>
      </c>
      <c r="B7" s="36">
        <v>19</v>
      </c>
      <c r="C7" s="18">
        <v>481</v>
      </c>
      <c r="D7" s="18">
        <v>160</v>
      </c>
      <c r="E7" s="18">
        <f t="shared" si="0"/>
        <v>641</v>
      </c>
      <c r="F7" s="18">
        <v>200</v>
      </c>
      <c r="G7" s="18"/>
      <c r="H7" s="32"/>
      <c r="I7" s="18"/>
      <c r="J7" s="25" t="s">
        <v>76</v>
      </c>
      <c r="K7" s="18">
        <v>2107</v>
      </c>
      <c r="L7" s="18">
        <v>0</v>
      </c>
      <c r="M7" s="18">
        <v>0</v>
      </c>
      <c r="N7" s="18">
        <f t="shared" si="1"/>
        <v>0</v>
      </c>
      <c r="O7" s="18">
        <v>2000</v>
      </c>
    </row>
    <row r="8" spans="1:15" ht="15" customHeight="1">
      <c r="A8" s="18" t="s">
        <v>89</v>
      </c>
      <c r="B8" s="36">
        <f>12597+3681+1762-3318</f>
        <v>14722</v>
      </c>
      <c r="C8" s="18">
        <f>5542+7462+567+925</f>
        <v>14496</v>
      </c>
      <c r="D8" s="18">
        <f>3219+3256+221-1972</f>
        <v>4724</v>
      </c>
      <c r="E8" s="18">
        <f t="shared" si="0"/>
        <v>19220</v>
      </c>
      <c r="F8" s="18">
        <v>22500</v>
      </c>
      <c r="G8" s="18"/>
      <c r="H8" s="32"/>
      <c r="I8" s="18"/>
      <c r="J8" s="25" t="s">
        <v>77</v>
      </c>
      <c r="K8" s="18">
        <v>1594</v>
      </c>
      <c r="L8" s="18">
        <v>0</v>
      </c>
      <c r="M8" s="18">
        <v>0</v>
      </c>
      <c r="N8" s="18">
        <f t="shared" si="1"/>
        <v>0</v>
      </c>
      <c r="O8" s="18">
        <v>0</v>
      </c>
    </row>
    <row r="9" spans="1:15" ht="15" customHeight="1">
      <c r="A9" s="18" t="s">
        <v>78</v>
      </c>
      <c r="B9" s="36">
        <f>1940+503</f>
        <v>2443</v>
      </c>
      <c r="C9" s="18">
        <f>3425+140</f>
        <v>3565</v>
      </c>
      <c r="D9" s="18">
        <f>1420+353</f>
        <v>1773</v>
      </c>
      <c r="E9" s="18">
        <f t="shared" si="0"/>
        <v>5338</v>
      </c>
      <c r="F9" s="18">
        <v>7500</v>
      </c>
      <c r="G9" s="18"/>
      <c r="H9" s="32"/>
      <c r="I9" s="18"/>
      <c r="J9" s="25"/>
      <c r="K9" s="18"/>
      <c r="L9" s="18"/>
      <c r="M9" s="18"/>
      <c r="N9" s="18"/>
      <c r="O9" s="18"/>
    </row>
    <row r="10" spans="1:15" ht="15" customHeight="1">
      <c r="A10" s="18" t="s">
        <v>79</v>
      </c>
      <c r="B10" s="36">
        <v>1067</v>
      </c>
      <c r="C10" s="18">
        <f>112</f>
        <v>112</v>
      </c>
      <c r="D10" s="18">
        <v>0</v>
      </c>
      <c r="E10" s="18">
        <f t="shared" si="0"/>
        <v>112</v>
      </c>
      <c r="F10" s="18">
        <v>2000</v>
      </c>
      <c r="G10" s="18"/>
      <c r="H10" s="32"/>
      <c r="I10" s="18"/>
      <c r="J10" s="25"/>
      <c r="K10" s="18"/>
      <c r="L10" s="18"/>
      <c r="M10" s="18"/>
      <c r="N10" s="18"/>
      <c r="O10" s="18"/>
    </row>
    <row r="11" spans="1:15" ht="15" customHeight="1">
      <c r="A11" s="18" t="s">
        <v>76</v>
      </c>
      <c r="B11" s="36">
        <v>403</v>
      </c>
      <c r="C11" s="18">
        <v>0</v>
      </c>
      <c r="D11" s="18">
        <v>0</v>
      </c>
      <c r="E11" s="18">
        <f t="shared" si="0"/>
        <v>0</v>
      </c>
      <c r="F11" s="18">
        <v>0</v>
      </c>
      <c r="G11" s="18"/>
      <c r="H11" s="32"/>
      <c r="I11" s="18"/>
      <c r="J11" s="25"/>
      <c r="K11" s="18"/>
      <c r="L11" s="18"/>
      <c r="M11" s="18"/>
      <c r="N11" s="18"/>
      <c r="O11" s="18"/>
    </row>
    <row r="12" spans="1:15" ht="15" customHeight="1">
      <c r="A12" s="18" t="s">
        <v>80</v>
      </c>
      <c r="B12" s="36">
        <v>576</v>
      </c>
      <c r="C12" s="18">
        <v>341</v>
      </c>
      <c r="D12" s="18">
        <v>0</v>
      </c>
      <c r="E12" s="18">
        <f t="shared" si="0"/>
        <v>341</v>
      </c>
      <c r="F12" s="18">
        <v>3000</v>
      </c>
      <c r="G12" s="18"/>
      <c r="H12" s="32"/>
      <c r="I12" s="18"/>
      <c r="J12" s="25"/>
      <c r="K12" s="18"/>
      <c r="L12" s="18"/>
      <c r="M12" s="18"/>
      <c r="N12" s="18"/>
      <c r="O12" s="18"/>
    </row>
    <row r="13" spans="1:15" ht="15" customHeight="1">
      <c r="A13" s="18" t="s">
        <v>81</v>
      </c>
      <c r="B13" s="36">
        <f>491+30+220+53+253+2</f>
        <v>1049</v>
      </c>
      <c r="C13" s="18">
        <f>74+648+2561+43+395+211</f>
        <v>3932</v>
      </c>
      <c r="D13" s="18">
        <f>18+50+2</f>
        <v>70</v>
      </c>
      <c r="E13" s="18">
        <f t="shared" si="0"/>
        <v>4002</v>
      </c>
      <c r="F13" s="18">
        <v>2500</v>
      </c>
      <c r="G13" s="18"/>
      <c r="H13" s="32"/>
      <c r="I13" s="18"/>
      <c r="J13" s="25"/>
      <c r="K13" s="18"/>
      <c r="L13" s="18"/>
      <c r="M13" s="18"/>
      <c r="N13" s="18"/>
      <c r="O13" s="18"/>
    </row>
    <row r="14" spans="1:15" ht="15" customHeight="1">
      <c r="A14" s="18" t="s">
        <v>77</v>
      </c>
      <c r="B14" s="36">
        <v>427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/>
      <c r="H14" s="32"/>
      <c r="I14" s="18"/>
      <c r="J14" s="25"/>
      <c r="K14" s="18"/>
      <c r="L14" s="18"/>
      <c r="M14" s="18"/>
      <c r="N14" s="18"/>
      <c r="O14" s="18"/>
    </row>
    <row r="15" spans="1:15" ht="15" customHeight="1">
      <c r="A15" s="18" t="s">
        <v>90</v>
      </c>
      <c r="B15" s="36">
        <v>0</v>
      </c>
      <c r="C15" s="18">
        <v>0</v>
      </c>
      <c r="D15" s="18">
        <v>0</v>
      </c>
      <c r="E15" s="18">
        <f t="shared" si="0"/>
        <v>0</v>
      </c>
      <c r="F15" s="18">
        <v>0</v>
      </c>
      <c r="G15" s="18"/>
      <c r="H15" s="32"/>
      <c r="I15" s="18"/>
      <c r="J15" s="25"/>
      <c r="K15" s="18"/>
      <c r="L15" s="18"/>
      <c r="M15" s="18"/>
      <c r="N15" s="18"/>
      <c r="O15" s="18"/>
    </row>
    <row r="16" spans="1:15" ht="15" customHeight="1">
      <c r="A16" s="18" t="s">
        <v>91</v>
      </c>
      <c r="B16" s="36">
        <v>1750</v>
      </c>
      <c r="C16" s="18">
        <v>0</v>
      </c>
      <c r="D16" s="18">
        <v>0</v>
      </c>
      <c r="E16" s="18">
        <f t="shared" si="0"/>
        <v>0</v>
      </c>
      <c r="F16" s="18">
        <v>0</v>
      </c>
      <c r="G16" s="18"/>
      <c r="H16" s="32"/>
      <c r="I16" s="18"/>
      <c r="J16" s="25"/>
      <c r="K16" s="18"/>
      <c r="L16" s="18"/>
      <c r="M16" s="18"/>
      <c r="N16" s="18"/>
      <c r="O16" s="18"/>
    </row>
    <row r="17" spans="1:15" ht="15" customHeight="1">
      <c r="A17" s="18" t="s">
        <v>100</v>
      </c>
      <c r="B17" s="36">
        <v>0</v>
      </c>
      <c r="C17" s="18">
        <v>0</v>
      </c>
      <c r="D17" s="18">
        <v>5000</v>
      </c>
      <c r="E17" s="18">
        <v>5000</v>
      </c>
      <c r="F17" s="18">
        <v>0</v>
      </c>
      <c r="G17" s="18"/>
      <c r="H17" s="32"/>
      <c r="I17" s="18"/>
      <c r="J17" s="25"/>
      <c r="K17" s="18"/>
      <c r="L17" s="18"/>
      <c r="M17" s="18"/>
      <c r="N17" s="18"/>
      <c r="O17" s="18"/>
    </row>
    <row r="18" spans="1:15" ht="15" customHeight="1">
      <c r="A18" s="18"/>
      <c r="B18" s="18"/>
      <c r="C18" s="18"/>
      <c r="D18" s="18"/>
      <c r="E18" s="18"/>
      <c r="F18" s="18"/>
      <c r="G18" s="18"/>
      <c r="H18" s="32"/>
      <c r="I18" s="18"/>
      <c r="J18" s="25"/>
      <c r="K18" s="18"/>
      <c r="L18" s="18"/>
      <c r="M18" s="18"/>
      <c r="N18" s="18"/>
      <c r="O18" s="18"/>
    </row>
    <row r="19" spans="1:15" ht="15" customHeight="1">
      <c r="A19" s="18" t="s">
        <v>82</v>
      </c>
      <c r="B19" s="18">
        <f>6931+1-3674</f>
        <v>3258</v>
      </c>
      <c r="C19" s="18">
        <v>-2292</v>
      </c>
      <c r="D19" s="18">
        <f>11411-5000</f>
        <v>6411</v>
      </c>
      <c r="E19" s="18">
        <f>D19+C19</f>
        <v>4119</v>
      </c>
      <c r="F19" s="18">
        <v>-5350</v>
      </c>
      <c r="G19" s="18"/>
      <c r="H19" s="32"/>
      <c r="I19" s="18"/>
      <c r="J19" s="25"/>
      <c r="K19" s="18"/>
      <c r="L19" s="18"/>
      <c r="M19" s="18"/>
      <c r="N19" s="18"/>
      <c r="O19" s="18"/>
    </row>
    <row r="20" spans="1:15" ht="15" customHeight="1">
      <c r="A20" s="18"/>
      <c r="B20" s="19"/>
      <c r="C20" s="19"/>
      <c r="D20" s="19"/>
      <c r="E20" s="19"/>
      <c r="F20" s="19"/>
      <c r="G20" s="25"/>
      <c r="H20" s="29"/>
      <c r="I20" s="25"/>
      <c r="J20" s="25"/>
      <c r="K20" s="19"/>
      <c r="L20" s="19"/>
      <c r="M20" s="19"/>
      <c r="N20" s="19"/>
      <c r="O20" s="19"/>
    </row>
    <row r="21" spans="1:15" ht="15.75" customHeight="1" thickBot="1">
      <c r="A21" s="18"/>
      <c r="B21" s="20">
        <f>SUM(B5:B19)</f>
        <v>69229</v>
      </c>
      <c r="C21" s="20">
        <f>SUM(C5:C14)+C19</f>
        <v>59940</v>
      </c>
      <c r="D21" s="20">
        <f>SUM(D5:D19)</f>
        <v>23712</v>
      </c>
      <c r="E21" s="20">
        <f>C21+D21</f>
        <v>83652</v>
      </c>
      <c r="F21" s="20">
        <f>SUM(F5:F16)-5350</f>
        <v>99800</v>
      </c>
      <c r="G21" s="27"/>
      <c r="H21" s="30"/>
      <c r="I21" s="27"/>
      <c r="J21" s="27"/>
      <c r="K21" s="20">
        <f>SUM(K5:K11)</f>
        <v>69229</v>
      </c>
      <c r="L21" s="20">
        <f>SUM(L5:L11)</f>
        <v>59940</v>
      </c>
      <c r="M21" s="20">
        <f>SUM(M5:M8)</f>
        <v>23712</v>
      </c>
      <c r="N21" s="20">
        <f>SUM(N5:N8)</f>
        <v>83652</v>
      </c>
      <c r="O21" s="20">
        <f>SUM(O5:O11)</f>
        <v>99800</v>
      </c>
    </row>
    <row r="22" spans="1:15" ht="15.75" customHeight="1" thickTop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B23" s="18"/>
      <c r="C23" s="18"/>
      <c r="D23" s="18"/>
      <c r="E23" s="18"/>
      <c r="M23" s="18"/>
      <c r="N23" s="18"/>
    </row>
    <row r="24" spans="1:15" ht="15" customHeight="1">
      <c r="A24" s="15" t="s">
        <v>112</v>
      </c>
      <c r="B24" s="18"/>
    </row>
    <row r="25" spans="1:15" ht="15" customHeight="1">
      <c r="A25" t="s">
        <v>105</v>
      </c>
    </row>
    <row r="26" spans="1:15" ht="15" customHeight="1">
      <c r="A26" t="s">
        <v>106</v>
      </c>
    </row>
    <row r="27" spans="1:15" ht="15" customHeight="1">
      <c r="C27" s="18"/>
    </row>
    <row r="28" spans="1:15" ht="15" customHeight="1">
      <c r="A28" t="s">
        <v>107</v>
      </c>
    </row>
    <row r="29" spans="1:15" ht="15" customHeight="1">
      <c r="A29" t="s">
        <v>108</v>
      </c>
    </row>
    <row r="30" spans="1:15" ht="15" customHeight="1">
      <c r="A30" t="s">
        <v>109</v>
      </c>
    </row>
    <row r="32" spans="1:15" ht="15" customHeight="1">
      <c r="A32" t="s">
        <v>110</v>
      </c>
    </row>
    <row r="33" spans="1:1" ht="15" customHeight="1">
      <c r="A33" t="s">
        <v>111</v>
      </c>
    </row>
    <row r="35" spans="1:1" ht="15" customHeight="1">
      <c r="A35" t="s">
        <v>96</v>
      </c>
    </row>
    <row r="36" spans="1:1" ht="15" customHeight="1">
      <c r="A36" t="s">
        <v>97</v>
      </c>
    </row>
    <row r="37" spans="1:1" ht="15" customHeight="1">
      <c r="A37" t="s">
        <v>98</v>
      </c>
    </row>
    <row r="39" spans="1:1" ht="15" customHeight="1">
      <c r="A39" t="s">
        <v>99</v>
      </c>
    </row>
    <row r="40" spans="1:1" ht="15" customHeight="1">
      <c r="A40" t="s">
        <v>101</v>
      </c>
    </row>
    <row r="42" spans="1:1" ht="15" customHeight="1">
      <c r="A42" t="s">
        <v>102</v>
      </c>
    </row>
    <row r="43" spans="1:1" ht="15" customHeight="1">
      <c r="A43" t="s">
        <v>103</v>
      </c>
    </row>
    <row r="44" spans="1:1" ht="15" customHeight="1">
      <c r="A44" t="s">
        <v>104</v>
      </c>
    </row>
  </sheetData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15" sqref="A15"/>
    </sheetView>
  </sheetViews>
  <sheetFormatPr defaultRowHeight="15" customHeight="1"/>
  <cols>
    <col min="1" max="1" width="25.7109375" bestFit="1" customWidth="1"/>
    <col min="2" max="2" width="9.5703125" style="18" bestFit="1" customWidth="1"/>
    <col min="3" max="3" width="4.42578125" customWidth="1"/>
    <col min="4" max="4" width="10.140625" customWidth="1"/>
    <col min="5" max="5" width="2.5703125" customWidth="1"/>
    <col min="6" max="6" width="0.42578125" customWidth="1"/>
    <col min="7" max="7" width="2.140625" customWidth="1"/>
    <col min="8" max="8" width="32.7109375" bestFit="1" customWidth="1"/>
    <col min="9" max="9" width="13.140625" style="18" customWidth="1"/>
    <col min="10" max="10" width="3.28515625" customWidth="1"/>
    <col min="11" max="11" width="10.140625" bestFit="1" customWidth="1"/>
  </cols>
  <sheetData>
    <row r="1" spans="1:14" ht="15" customHeight="1">
      <c r="D1" s="21" t="s">
        <v>93</v>
      </c>
      <c r="E1" s="26"/>
      <c r="F1" s="26"/>
      <c r="G1" s="26"/>
    </row>
    <row r="2" spans="1:14" ht="15" customHeight="1">
      <c r="D2" s="26"/>
      <c r="E2" s="26"/>
      <c r="F2" s="26"/>
      <c r="G2" s="26"/>
    </row>
    <row r="3" spans="1:14" ht="15" customHeight="1">
      <c r="B3" s="38">
        <v>44377</v>
      </c>
      <c r="C3" s="38"/>
      <c r="D3" s="39">
        <v>43830</v>
      </c>
      <c r="E3" s="39"/>
      <c r="F3" s="40"/>
      <c r="G3" s="39"/>
      <c r="H3" s="41"/>
      <c r="I3" s="38">
        <v>44377</v>
      </c>
      <c r="J3" s="38"/>
      <c r="K3" s="39">
        <v>43830</v>
      </c>
    </row>
    <row r="4" spans="1:14" ht="15" customHeight="1">
      <c r="B4" s="37" t="s">
        <v>70</v>
      </c>
      <c r="D4" s="17" t="s">
        <v>70</v>
      </c>
      <c r="E4" s="24"/>
      <c r="F4" s="28"/>
      <c r="G4" s="24"/>
      <c r="I4" s="37" t="s">
        <v>70</v>
      </c>
      <c r="K4" s="17" t="s">
        <v>70</v>
      </c>
      <c r="M4" s="18"/>
    </row>
    <row r="5" spans="1:14" ht="15" customHeight="1">
      <c r="A5" t="s">
        <v>83</v>
      </c>
      <c r="B5" s="18">
        <f>35588+265</f>
        <v>35853</v>
      </c>
      <c r="C5" s="18"/>
      <c r="D5" s="25">
        <f>1571+41221</f>
        <v>42792</v>
      </c>
      <c r="E5" s="25"/>
      <c r="F5" s="29"/>
      <c r="G5" s="25"/>
      <c r="H5" s="18" t="s">
        <v>84</v>
      </c>
      <c r="I5" s="18">
        <f>44136+1972-375-5000</f>
        <v>40733</v>
      </c>
      <c r="J5" s="18"/>
      <c r="K5" s="18">
        <f>41038-750-3674</f>
        <v>36614</v>
      </c>
      <c r="L5" s="18"/>
      <c r="M5" s="18"/>
      <c r="N5" s="18"/>
    </row>
    <row r="6" spans="1:14" ht="15" customHeight="1">
      <c r="A6" t="s">
        <v>85</v>
      </c>
      <c r="B6" s="18">
        <f>319+220</f>
        <v>539</v>
      </c>
      <c r="D6" s="25">
        <v>319</v>
      </c>
      <c r="E6" s="25"/>
      <c r="F6" s="29"/>
      <c r="G6" s="25"/>
      <c r="H6" s="18" t="s">
        <v>88</v>
      </c>
      <c r="I6" s="18">
        <v>1514</v>
      </c>
      <c r="J6" s="18"/>
      <c r="K6" s="18">
        <f>6986+750</f>
        <v>7736</v>
      </c>
    </row>
    <row r="7" spans="1:14" ht="15" customHeight="1">
      <c r="A7" t="s">
        <v>86</v>
      </c>
      <c r="B7" s="18">
        <v>569</v>
      </c>
      <c r="D7" s="25">
        <v>0</v>
      </c>
      <c r="E7" s="25"/>
      <c r="F7" s="29"/>
      <c r="G7" s="25"/>
      <c r="H7" s="18" t="s">
        <v>113</v>
      </c>
      <c r="I7" s="18">
        <f>2150+220+375</f>
        <v>2745</v>
      </c>
      <c r="J7" s="18"/>
      <c r="K7" s="18">
        <v>0</v>
      </c>
      <c r="M7" s="18"/>
      <c r="N7" s="18"/>
    </row>
    <row r="8" spans="1:14" ht="15" customHeight="1">
      <c r="A8" t="s">
        <v>87</v>
      </c>
      <c r="B8" s="18">
        <f>1059+1972</f>
        <v>3031</v>
      </c>
      <c r="D8" s="25">
        <v>1239</v>
      </c>
      <c r="E8" s="25"/>
      <c r="F8" s="29"/>
      <c r="G8" s="25"/>
      <c r="H8" s="18" t="s">
        <v>95</v>
      </c>
      <c r="I8" s="18">
        <v>5000</v>
      </c>
      <c r="K8">
        <v>0</v>
      </c>
    </row>
    <row r="9" spans="1:14" ht="15" customHeight="1">
      <c r="A9" t="s">
        <v>92</v>
      </c>
      <c r="B9" s="18">
        <v>10000</v>
      </c>
      <c r="D9" s="19"/>
      <c r="E9" s="25"/>
      <c r="F9" s="29"/>
      <c r="G9" s="25"/>
      <c r="H9" s="18"/>
      <c r="I9" s="19"/>
      <c r="J9" s="18"/>
      <c r="K9" s="19"/>
    </row>
    <row r="10" spans="1:14" ht="15.75" customHeight="1" thickBot="1">
      <c r="B10" s="22">
        <f>SUM(B5:B9)</f>
        <v>49992</v>
      </c>
      <c r="D10" s="20">
        <f>SUM(D5:D8)</f>
        <v>44350</v>
      </c>
      <c r="E10" s="27"/>
      <c r="F10" s="30"/>
      <c r="G10" s="27"/>
      <c r="H10" s="18"/>
      <c r="I10" s="20">
        <f>SUM(I5:I8)</f>
        <v>49992</v>
      </c>
      <c r="J10" s="18"/>
      <c r="K10" s="20">
        <f>SUM(K5:K8)</f>
        <v>44350</v>
      </c>
    </row>
    <row r="11" spans="1:14" ht="15.75" customHeight="1" thickTop="1">
      <c r="D11" s="23"/>
      <c r="E11" s="23"/>
      <c r="F11" s="23"/>
      <c r="G11" s="23"/>
      <c r="K11" s="18"/>
    </row>
    <row r="12" spans="1:14" ht="15" customHeight="1">
      <c r="D12" s="23"/>
      <c r="E12" s="23"/>
      <c r="F12" s="23"/>
      <c r="G12" s="23"/>
      <c r="H12" s="23"/>
      <c r="I12" s="25"/>
      <c r="J12" s="23"/>
    </row>
    <row r="13" spans="1:14" ht="15" customHeight="1">
      <c r="D13" s="23"/>
      <c r="E13" s="23"/>
      <c r="F13" s="23"/>
      <c r="G13" s="23"/>
      <c r="H13" s="23"/>
      <c r="I13" s="25"/>
      <c r="J13" s="23"/>
    </row>
    <row r="14" spans="1:14" ht="15" customHeight="1">
      <c r="D14" s="23"/>
      <c r="E14" s="23"/>
      <c r="F14" s="23"/>
      <c r="G14" s="23"/>
      <c r="H14" s="23"/>
      <c r="I14" s="25"/>
      <c r="J14" s="23"/>
    </row>
    <row r="15" spans="1:14" ht="15" customHeight="1">
      <c r="D15" s="23"/>
      <c r="E15" s="23"/>
      <c r="F15" s="23"/>
      <c r="G15" s="23"/>
      <c r="H15" s="23"/>
      <c r="I15" s="25"/>
      <c r="J15" s="23"/>
    </row>
    <row r="16" spans="1:14" ht="15" customHeight="1">
      <c r="D16" s="23"/>
      <c r="E16" s="23"/>
      <c r="F16" s="23"/>
      <c r="G16" s="23"/>
      <c r="H16" s="23"/>
      <c r="I16" s="25"/>
      <c r="J16" s="2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Report</vt:lpstr>
      <vt:lpstr>V&amp;W 20-21</vt:lpstr>
      <vt:lpstr>N24 Balans 30-06-2021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dc:description>Dexels</dc:description>
  <cp:lastModifiedBy>Erik de Vries</cp:lastModifiedBy>
  <cp:lastPrinted>2021-09-22T06:08:22Z</cp:lastPrinted>
  <dcterms:created xsi:type="dcterms:W3CDTF">2018-03-30T15:13:46Z</dcterms:created>
  <dcterms:modified xsi:type="dcterms:W3CDTF">2021-09-27T17:08:38Z</dcterms:modified>
</cp:coreProperties>
</file>